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6440"/>
  </bookViews>
  <sheets>
    <sheet name="Обороты 2022" sheetId="5" r:id="rId1"/>
    <sheet name="Январь " sheetId="7" r:id="rId2"/>
    <sheet name="2022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7" l="1"/>
  <c r="K19" i="7"/>
  <c r="K18" i="7"/>
  <c r="F17" i="7"/>
  <c r="J17" i="7" s="1"/>
  <c r="J19" i="7"/>
  <c r="J18" i="7"/>
  <c r="I19" i="7"/>
  <c r="I18" i="7"/>
  <c r="I17" i="7"/>
  <c r="G19" i="7"/>
  <c r="G18" i="7"/>
  <c r="D19" i="7"/>
  <c r="D18" i="7"/>
  <c r="M13" i="7" l="1"/>
  <c r="D15" i="7"/>
  <c r="D14" i="7"/>
  <c r="D13" i="7"/>
  <c r="D16" i="7" s="1"/>
  <c r="A17" i="7"/>
  <c r="A7" i="7"/>
  <c r="H4" i="5"/>
  <c r="D17" i="7" l="1"/>
  <c r="G17" i="7" s="1"/>
  <c r="N13" i="7"/>
  <c r="C16" i="5"/>
  <c r="D16" i="5"/>
  <c r="E16" i="5"/>
  <c r="F16" i="5"/>
  <c r="G16" i="5"/>
  <c r="I16" i="5"/>
  <c r="K16" i="5"/>
  <c r="B16" i="5"/>
  <c r="H5" i="5"/>
  <c r="J5" i="5" s="1"/>
  <c r="H6" i="5"/>
  <c r="H7" i="5"/>
  <c r="H8" i="5"/>
  <c r="J8" i="5" s="1"/>
  <c r="H9" i="5"/>
  <c r="J9" i="5" s="1"/>
  <c r="H10" i="5"/>
  <c r="J10" i="5" s="1"/>
  <c r="H11" i="5"/>
  <c r="J11" i="5" s="1"/>
  <c r="H12" i="5"/>
  <c r="J12" i="5" s="1"/>
  <c r="H13" i="5"/>
  <c r="J13" i="5" s="1"/>
  <c r="H14" i="5"/>
  <c r="H15" i="5"/>
  <c r="J15" i="5" s="1"/>
  <c r="J4" i="5"/>
  <c r="L4" i="5" s="1"/>
  <c r="J6" i="5"/>
  <c r="J7" i="5"/>
  <c r="J14" i="5"/>
  <c r="H16" i="5" l="1"/>
  <c r="J16" i="5"/>
  <c r="D18" i="3"/>
  <c r="D15" i="3"/>
  <c r="D14" i="3"/>
  <c r="D13" i="3"/>
  <c r="N13" i="3" l="1"/>
  <c r="I16" i="7" l="1"/>
  <c r="I15" i="7"/>
  <c r="J15" i="7"/>
  <c r="I14" i="7"/>
  <c r="J14" i="7"/>
  <c r="I13" i="7"/>
  <c r="G13" i="7" l="1"/>
  <c r="J13" i="7"/>
  <c r="J16" i="7" l="1"/>
  <c r="K13" i="7" s="1"/>
  <c r="K20" i="7" s="1"/>
  <c r="L17" i="7"/>
  <c r="N20" i="7"/>
  <c r="J25" i="7"/>
  <c r="L13" i="7"/>
  <c r="D37" i="3"/>
  <c r="E35" i="3"/>
  <c r="D35" i="3"/>
  <c r="G20" i="7" l="1"/>
  <c r="L20" i="7"/>
  <c r="K25" i="7" s="1"/>
  <c r="L25" i="7" s="1"/>
  <c r="G18" i="3"/>
  <c r="L15" i="5" l="1"/>
  <c r="L14" i="5"/>
  <c r="L8" i="5"/>
  <c r="L6" i="5"/>
  <c r="L5" i="5" l="1"/>
  <c r="L7" i="5"/>
  <c r="L9" i="5"/>
  <c r="L13" i="5"/>
  <c r="L12" i="5"/>
  <c r="L11" i="5"/>
  <c r="L16" i="5" l="1"/>
  <c r="L10" i="5"/>
  <c r="J14" i="3"/>
  <c r="J15" i="3"/>
  <c r="J13" i="3"/>
  <c r="I14" i="3"/>
  <c r="I15" i="3"/>
  <c r="I16" i="3"/>
  <c r="I13" i="3"/>
  <c r="J16" i="3" l="1"/>
  <c r="K18" i="3"/>
  <c r="D16" i="3"/>
  <c r="B29" i="3" l="1"/>
  <c r="B35" i="3" s="1"/>
  <c r="C37" i="3" s="1"/>
  <c r="E37" i="3" s="1"/>
  <c r="D17" i="3"/>
  <c r="G17" i="3" s="1"/>
  <c r="J24" i="3"/>
  <c r="G13" i="3"/>
  <c r="C35" i="3" l="1"/>
  <c r="F35" i="3" s="1"/>
  <c r="C31" i="3"/>
  <c r="E31" i="3" s="1"/>
  <c r="C29" i="3"/>
  <c r="F29" i="3" s="1"/>
  <c r="K17" i="3"/>
  <c r="K13" i="3" s="1"/>
  <c r="L13" i="3" s="1"/>
  <c r="N19" i="3"/>
  <c r="G19" i="3"/>
  <c r="K19" i="3" l="1"/>
  <c r="L17" i="3"/>
  <c r="L19" i="3" s="1"/>
  <c r="K24" i="3" s="1"/>
  <c r="L24" i="3" s="1"/>
</calcChain>
</file>

<file path=xl/sharedStrings.xml><?xml version="1.0" encoding="utf-8"?>
<sst xmlns="http://schemas.openxmlformats.org/spreadsheetml/2006/main" count="130" uniqueCount="81">
  <si>
    <t>Период</t>
  </si>
  <si>
    <t>Оборот</t>
  </si>
  <si>
    <t>Вид налога</t>
  </si>
  <si>
    <t>Ставка налога</t>
  </si>
  <si>
    <t>Метод оптимизации и ставка</t>
  </si>
  <si>
    <t>Сэкономлено</t>
  </si>
  <si>
    <t>УСН</t>
  </si>
  <si>
    <t>ПФР</t>
  </si>
  <si>
    <t>1%, не более 227 136 руб.</t>
  </si>
  <si>
    <t>Итого</t>
  </si>
  <si>
    <t>Сумма налогов и сборов к уплате до оптимицизации</t>
  </si>
  <si>
    <t xml:space="preserve">фиксированные взносы </t>
  </si>
  <si>
    <t>ПФР, ФОМС</t>
  </si>
  <si>
    <t>Сумма налогов и сборов после оптимизации</t>
  </si>
  <si>
    <t xml:space="preserve">Источник данных из 1С для расчетов  </t>
  </si>
  <si>
    <t xml:space="preserve">Источник данных из 1С для расчетов </t>
  </si>
  <si>
    <t>фиксированные взносы</t>
  </si>
  <si>
    <t>УСН, 1%</t>
  </si>
  <si>
    <t>р/с</t>
  </si>
  <si>
    <t>Вид поступления</t>
  </si>
  <si>
    <t>Ставка гонорара</t>
  </si>
  <si>
    <t>валют. Сч.</t>
  </si>
  <si>
    <t>% премии Таксмарт</t>
  </si>
  <si>
    <t xml:space="preserve">Разница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</si>
  <si>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</si>
  <si>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</si>
  <si>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</si>
  <si>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</si>
  <si>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</si>
  <si>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</si>
  <si>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</si>
  <si>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</si>
  <si>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</si>
  <si>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</si>
  <si>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</si>
  <si>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</si>
  <si>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</si>
  <si>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tax-smart.ru</t>
  </si>
  <si>
    <t>ТАБЛИЦА РАСЧЕТОВ ЭКОНОМИИ</t>
  </si>
  <si>
    <t xml:space="preserve">Алгоритм расчета  дохода и  налогов </t>
  </si>
  <si>
    <t>Расчетный счет Анализ 51счета: Дт 51 Кт 62</t>
  </si>
  <si>
    <t>% начисленный банком          Анализ 51счета: Дт 51 Кт 91.01</t>
  </si>
  <si>
    <t>прочее % начисленный банком          Анализ 51счета: Дт 51 Кт 91.01</t>
  </si>
  <si>
    <t xml:space="preserve">Услуги коммисионеров                     Анализ 44счета: Дт44 Кт 60 </t>
  </si>
  <si>
    <t>Сумма гонорара за оптимизацию</t>
  </si>
  <si>
    <t>Расчет % экономии от суммы дохода</t>
  </si>
  <si>
    <t>доход</t>
  </si>
  <si>
    <t>сумма экономии</t>
  </si>
  <si>
    <t xml:space="preserve">процент </t>
  </si>
  <si>
    <t>* Сумма доходов за период может отличаться в виду особенностей учета
* Суммы ранее уплаченных налогов, превышающие итоговую сумму налога к уплате, переходят на следующий налоговый период в качестве переплаты</t>
  </si>
  <si>
    <t>Сумма к оплате за оптимизацию</t>
  </si>
  <si>
    <t>налог  УСН 6%</t>
  </si>
  <si>
    <t>оплачено налог УСН в 2021г</t>
  </si>
  <si>
    <t>Уплаченные взносы в 2021г.</t>
  </si>
  <si>
    <t>Итого к доплате</t>
  </si>
  <si>
    <t>ПФР с превышения 1% база для начисления</t>
  </si>
  <si>
    <t>ПФР 1%</t>
  </si>
  <si>
    <t>Оплачено в 2021г.</t>
  </si>
  <si>
    <t>УСН оборот</t>
  </si>
  <si>
    <t>налог  УСН 1%</t>
  </si>
  <si>
    <t>ПЕРИОД 01.01.2021-30.06.2021</t>
  </si>
  <si>
    <t xml:space="preserve">Взять данные у бухгалтера </t>
  </si>
  <si>
    <t>Итого к доплате из налога УСН  1%</t>
  </si>
  <si>
    <t>Итого к доплате из налога УСН  6%</t>
  </si>
  <si>
    <t>1. Авансовые платежи по УСН перечислить в бюджет позднее 25-го числа первого месяца, следующего за отчетным периодом (квартал, полугодие и девять месяцев). То есть не позднее 25 апреля, 25 июля и 25 октября.</t>
  </si>
  <si>
    <t>В случае, если срок уплаты приходится на выходной или нерабочий день, то аванс по УСН нужно перечислить в бюджет в ближайший рабочий день</t>
  </si>
  <si>
    <t>2. Срок уплаты фиксированных взносов является 31 декабря того года, /платим по квартально/</t>
  </si>
  <si>
    <t>3. Дополнительный 1%-ный взнос в ПФР за 2021 год предпринимателям необходимо перечислить в бюджет не позднее 01.07.2022. Но при уплате взносов до окончания года, ими возможно уменьшить налог по УСН /либо базу по налогу УСН , если ИП применяет систему УСН доходы - расходы/</t>
  </si>
  <si>
    <t>Индивидуальный предприниматель Яновский Андрей Александрович, ИНН: 370206394601, ОГРНИП: 318505300005047, ОКВЭД: 46.42</t>
  </si>
  <si>
    <t>Оплачено</t>
  </si>
  <si>
    <t>01.01.2021-30.06.2021</t>
  </si>
  <si>
    <t>Всего оборот</t>
  </si>
  <si>
    <t>Наличные денежные средства</t>
  </si>
  <si>
    <t>Комиссии (44,01)</t>
  </si>
  <si>
    <t xml:space="preserve">Р/счет </t>
  </si>
  <si>
    <t>01.01.2022-31.01.2022</t>
  </si>
  <si>
    <t>ОПС</t>
  </si>
  <si>
    <t>ОМС</t>
  </si>
  <si>
    <t>1%, не более 232 349 руб.</t>
  </si>
  <si>
    <t>ОПС 34 445 руб. в 2022 г.</t>
  </si>
  <si>
    <t>на ОМС 8 766 руб. в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</si>
</sst>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₽&quot;"/>
    <numFmt numFmtId="165" formatCode="#,##0\ &quot;₽&quot;"/>
    <numFmt numFmtId="166" formatCode="0.0%"/>
    <numFmt numFmtId="167" formatCode="#,##0.00\ _₽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164" fontId="7" fillId="9" borderId="1" xfId="0" applyNumberFormat="1" applyFont="1" applyFill="1" applyBorder="1" applyAlignment="1">
      <alignment horizontal="center" vertical="center" wrapText="1"/>
    </xf>
    <xf numFmtId="165" fontId="7" fillId="9" borderId="1" xfId="0" applyNumberFormat="1" applyFont="1" applyFill="1" applyBorder="1" applyAlignment="1">
      <alignment horizontal="center" vertical="center" wrapText="1"/>
    </xf>
    <xf numFmtId="10" fontId="7" fillId="9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11" borderId="1" xfId="0" applyFont="1" applyFill="1" applyBorder="1" applyAlignment="1">
      <alignment horizontal="center" vertical="center" wrapText="1"/>
    </xf>
    <xf numFmtId="3" fontId="6" fillId="11" borderId="1" xfId="0" applyNumberFormat="1" applyFont="1" applyFill="1" applyBorder="1" applyAlignment="1">
      <alignment horizontal="center" vertical="center" wrapText="1"/>
    </xf>
    <xf numFmtId="164" fontId="0" fillId="11" borderId="1" xfId="0" applyNumberForma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3" fontId="6" fillId="12" borderId="1" xfId="0" applyNumberFormat="1" applyFont="1" applyFill="1" applyBorder="1" applyAlignment="1">
      <alignment horizontal="center" vertical="center" wrapText="1"/>
    </xf>
    <xf numFmtId="164" fontId="0" fillId="12" borderId="1" xfId="0" applyNumberForma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164" fontId="0" fillId="11" borderId="13" xfId="0" applyNumberForma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 wrapText="1"/>
    </xf>
    <xf numFmtId="167" fontId="1" fillId="0" borderId="7" xfId="0" applyNumberFormat="1" applyFont="1" applyBorder="1" applyAlignment="1">
      <alignment horizontal="center" vertical="center"/>
    </xf>
    <xf numFmtId="167" fontId="1" fillId="0" borderId="7" xfId="0" applyNumberFormat="1" applyFont="1" applyBorder="1" applyAlignment="1">
      <alignment horizontal="center" vertical="center" wrapText="1"/>
    </xf>
    <xf numFmtId="10" fontId="0" fillId="7" borderId="7" xfId="0" applyNumberFormat="1" applyFill="1" applyBorder="1" applyAlignment="1">
      <alignment horizontal="center" vertical="center" wrapText="1"/>
    </xf>
    <xf numFmtId="164" fontId="0" fillId="7" borderId="14" xfId="0" applyNumberFormat="1" applyFill="1" applyBorder="1" applyAlignment="1">
      <alignment horizontal="center" vertical="center" wrapText="1"/>
    </xf>
    <xf numFmtId="167" fontId="0" fillId="7" borderId="7" xfId="0" applyNumberFormat="1" applyFill="1" applyBorder="1" applyAlignment="1">
      <alignment horizontal="center" vertical="center" wrapText="1"/>
    </xf>
    <xf numFmtId="167" fontId="0" fillId="7" borderId="8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 wrapText="1"/>
    </xf>
    <xf numFmtId="10" fontId="0" fillId="7" borderId="1" xfId="0" applyNumberFormat="1" applyFill="1" applyBorder="1" applyAlignment="1">
      <alignment horizontal="center" vertical="center" wrapText="1"/>
    </xf>
    <xf numFmtId="167" fontId="0" fillId="7" borderId="1" xfId="0" applyNumberFormat="1" applyFill="1" applyBorder="1" applyAlignment="1">
      <alignment horizontal="center" vertical="center" wrapText="1"/>
    </xf>
    <xf numFmtId="167" fontId="0" fillId="7" borderId="10" xfId="0" applyNumberFormat="1" applyFill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 wrapText="1"/>
    </xf>
    <xf numFmtId="167" fontId="1" fillId="0" borderId="5" xfId="0" applyNumberFormat="1" applyFont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center" wrapText="1"/>
    </xf>
    <xf numFmtId="167" fontId="0" fillId="7" borderId="5" xfId="0" applyNumberFormat="1" applyFill="1" applyBorder="1" applyAlignment="1">
      <alignment horizontal="center" vertical="center" wrapText="1"/>
    </xf>
    <xf numFmtId="167" fontId="0" fillId="7" borderId="12" xfId="0" applyNumberFormat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 wrapText="1"/>
    </xf>
    <xf numFmtId="167" fontId="0" fillId="7" borderId="4" xfId="0" applyNumberFormat="1" applyFill="1" applyBorder="1" applyAlignment="1">
      <alignment horizontal="center" vertical="center" wrapText="1"/>
    </xf>
    <xf numFmtId="167" fontId="0" fillId="7" borderId="4" xfId="0" applyNumberFormat="1" applyFill="1" applyBorder="1" applyAlignment="1">
      <alignment horizontal="center" vertical="center"/>
    </xf>
    <xf numFmtId="167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7" fontId="0" fillId="8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4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14" fontId="3" fillId="12" borderId="1" xfId="0" applyNumberFormat="1" applyFont="1" applyFill="1" applyBorder="1" applyAlignment="1">
      <alignment horizontal="center" vertical="center" wrapText="1"/>
    </xf>
    <xf numFmtId="0" fontId="0" fillId="12" borderId="1" xfId="0" applyNumberForma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4" fontId="0" fillId="12" borderId="1" xfId="0" applyNumberFormat="1" applyFill="1" applyBorder="1" applyAlignment="1">
      <alignment horizontal="center" vertical="center"/>
    </xf>
    <xf numFmtId="9" fontId="10" fillId="12" borderId="0" xfId="0" applyNumberFormat="1" applyFont="1" applyFill="1" applyBorder="1" applyAlignment="1">
      <alignment horizontal="center" vertical="center" wrapText="1"/>
    </xf>
    <xf numFmtId="9" fontId="10" fillId="12" borderId="2" xfId="0" applyNumberFormat="1" applyFont="1" applyFill="1" applyBorder="1" applyAlignment="1">
      <alignment horizontal="center" vertical="center" wrapText="1"/>
    </xf>
    <xf numFmtId="9" fontId="10" fillId="11" borderId="0" xfId="0" applyNumberFormat="1" applyFont="1" applyFill="1" applyAlignment="1">
      <alignment horizontal="center" vertical="center"/>
    </xf>
    <xf numFmtId="9" fontId="10" fillId="11" borderId="2" xfId="0" applyNumberFormat="1" applyFont="1" applyFill="1" applyBorder="1" applyAlignment="1">
      <alignment horizontal="center" vertical="center"/>
    </xf>
    <xf numFmtId="14" fontId="3" fillId="11" borderId="1" xfId="0" applyNumberFormat="1" applyFont="1" applyFill="1" applyBorder="1" applyAlignment="1">
      <alignment horizontal="center" vertical="center" wrapText="1"/>
    </xf>
    <xf numFmtId="0" fontId="0" fillId="11" borderId="1" xfId="0" applyNumberFormat="1" applyFill="1" applyBorder="1" applyAlignment="1">
      <alignment horizontal="center" vertical="center" wrapText="1"/>
    </xf>
    <xf numFmtId="0" fontId="0" fillId="11" borderId="13" xfId="0" applyNumberFormat="1" applyFill="1" applyBorder="1" applyAlignment="1">
      <alignment horizontal="center" vertical="center" wrapText="1"/>
    </xf>
    <xf numFmtId="164" fontId="0" fillId="11" borderId="13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2</xdr:row>
      <xdr:rowOff>22860</xdr:rowOff>
    </xdr:from>
    <xdr:to>
      <xdr:col>2</xdr:col>
      <xdr:colOff>29149</xdr:colOff>
      <xdr:row>4</xdr:row>
      <xdr:rowOff>19776</xdr:rowOff>
    </xdr:to>
    <xdr:pic>
      <xdr:nvPicPr>
        <xdr:cNvPr id="2" name="Изображение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0960" y="472440"/>
          <a:ext cx="1728409" cy="530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2</xdr:row>
      <xdr:rowOff>22860</xdr:rowOff>
    </xdr:from>
    <xdr:to>
      <xdr:col>1</xdr:col>
      <xdr:colOff>1011283</xdr:colOff>
      <xdr:row>4</xdr:row>
      <xdr:rowOff>19776</xdr:rowOff>
    </xdr:to>
    <xdr:pic>
      <xdr:nvPicPr>
        <xdr:cNvPr id="2" name="Изображение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0960" y="205740"/>
          <a:ext cx="1715770" cy="53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R7" sqref="R7"/>
    </sheetView>
  </sheetViews>
  <sheetFormatPr defaultRowHeight="14.4" x14ac:dyDescent="0.3"/>
  <cols>
    <col min="1" max="1" width="10.5546875" customWidth="1"/>
    <col min="2" max="2" width="12" customWidth="1"/>
    <col min="3" max="3" width="15.6640625" customWidth="1"/>
    <col min="4" max="4" width="9" bestFit="1" customWidth="1"/>
    <col min="5" max="5" width="14.44140625" customWidth="1"/>
    <col min="6" max="6" width="13.88671875" customWidth="1"/>
    <col min="7" max="7" width="12" customWidth="1"/>
    <col min="8" max="8" width="15.33203125" customWidth="1"/>
    <col min="10" max="10" width="14.88671875" customWidth="1"/>
    <col min="11" max="11" width="12.44140625" customWidth="1"/>
    <col min="12" max="12" width="20.33203125" customWidth="1"/>
  </cols>
  <sheetData>
    <row r="1" spans="1:12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79.5" customHeight="1" x14ac:dyDescent="0.3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s="24" customFormat="1" ht="72.599999999999994" thickBot="1" x14ac:dyDescent="0.35">
      <c r="A3" s="27"/>
      <c r="B3" s="27" t="s">
        <v>72</v>
      </c>
      <c r="C3" s="27" t="s">
        <v>42</v>
      </c>
      <c r="D3" s="27" t="s">
        <v>21</v>
      </c>
      <c r="E3" s="27" t="s">
        <v>74</v>
      </c>
      <c r="F3" s="27" t="s">
        <v>73</v>
      </c>
      <c r="G3" s="27"/>
      <c r="H3" s="27" t="s">
        <v>71</v>
      </c>
      <c r="I3" s="28" t="s">
        <v>22</v>
      </c>
      <c r="J3" s="28" t="s">
        <v>50</v>
      </c>
      <c r="K3" s="28" t="s">
        <v>69</v>
      </c>
      <c r="L3" s="28" t="s">
        <v>23</v>
      </c>
    </row>
    <row r="4" spans="1:12" ht="15" thickBot="1" x14ac:dyDescent="0.35">
      <c r="A4" s="30" t="s">
        <v>24</v>
      </c>
      <c r="B4" s="69"/>
      <c r="C4" s="70"/>
      <c r="D4" s="71"/>
      <c r="E4" s="70"/>
      <c r="F4" s="70"/>
      <c r="G4" s="69"/>
      <c r="H4" s="69">
        <f>SUM(B4:G4)</f>
        <v>0</v>
      </c>
      <c r="I4" s="72">
        <v>0.01</v>
      </c>
      <c r="J4" s="73">
        <f>H4*I4</f>
        <v>0</v>
      </c>
      <c r="K4" s="74"/>
      <c r="L4" s="75">
        <f>J4-K4</f>
        <v>0</v>
      </c>
    </row>
    <row r="5" spans="1:12" ht="15" thickBot="1" x14ac:dyDescent="0.35">
      <c r="A5" s="31" t="s">
        <v>25</v>
      </c>
      <c r="B5" s="76"/>
      <c r="C5" s="77"/>
      <c r="D5" s="78"/>
      <c r="E5" s="77"/>
      <c r="F5" s="77"/>
      <c r="G5" s="76"/>
      <c r="H5" s="69">
        <f t="shared" ref="H5:H15" si="0">SUM(B5:G5)</f>
        <v>0</v>
      </c>
      <c r="I5" s="79">
        <v>0.01</v>
      </c>
      <c r="J5" s="73">
        <f t="shared" ref="J5:J15" si="1">H5*I5</f>
        <v>0</v>
      </c>
      <c r="K5" s="74"/>
      <c r="L5" s="81">
        <f t="shared" ref="L5:L15" si="2">J5-K5</f>
        <v>0</v>
      </c>
    </row>
    <row r="6" spans="1:12" ht="15" thickBot="1" x14ac:dyDescent="0.35">
      <c r="A6" s="31" t="s">
        <v>26</v>
      </c>
      <c r="B6" s="76"/>
      <c r="C6" s="77"/>
      <c r="D6" s="78"/>
      <c r="E6" s="77"/>
      <c r="F6" s="77"/>
      <c r="G6" s="76"/>
      <c r="H6" s="69">
        <f t="shared" si="0"/>
        <v>0</v>
      </c>
      <c r="I6" s="72">
        <v>0.01</v>
      </c>
      <c r="J6" s="73">
        <f t="shared" si="1"/>
        <v>0</v>
      </c>
      <c r="K6" s="80"/>
      <c r="L6" s="81">
        <f t="shared" si="2"/>
        <v>0</v>
      </c>
    </row>
    <row r="7" spans="1:12" ht="15" thickBot="1" x14ac:dyDescent="0.35">
      <c r="A7" s="31" t="s">
        <v>27</v>
      </c>
      <c r="B7" s="76"/>
      <c r="C7" s="77"/>
      <c r="D7" s="78"/>
      <c r="E7" s="77"/>
      <c r="F7" s="77"/>
      <c r="G7" s="76"/>
      <c r="H7" s="69">
        <f t="shared" si="0"/>
        <v>0</v>
      </c>
      <c r="I7" s="79">
        <v>0.01</v>
      </c>
      <c r="J7" s="73">
        <f t="shared" si="1"/>
        <v>0</v>
      </c>
      <c r="K7" s="80"/>
      <c r="L7" s="81">
        <f t="shared" si="2"/>
        <v>0</v>
      </c>
    </row>
    <row r="8" spans="1:12" ht="15" thickBot="1" x14ac:dyDescent="0.35">
      <c r="A8" s="31" t="s">
        <v>28</v>
      </c>
      <c r="B8" s="76"/>
      <c r="C8" s="77"/>
      <c r="D8" s="78"/>
      <c r="E8" s="77"/>
      <c r="F8" s="77"/>
      <c r="G8" s="76"/>
      <c r="H8" s="69">
        <f t="shared" si="0"/>
        <v>0</v>
      </c>
      <c r="I8" s="72">
        <v>0.01</v>
      </c>
      <c r="J8" s="73">
        <f t="shared" si="1"/>
        <v>0</v>
      </c>
      <c r="K8" s="80"/>
      <c r="L8" s="81">
        <f t="shared" si="2"/>
        <v>0</v>
      </c>
    </row>
    <row r="9" spans="1:12" ht="15" thickBot="1" x14ac:dyDescent="0.35">
      <c r="A9" s="32" t="s">
        <v>29</v>
      </c>
      <c r="B9" s="82"/>
      <c r="C9" s="83"/>
      <c r="D9" s="84"/>
      <c r="E9" s="83"/>
      <c r="F9" s="83"/>
      <c r="G9" s="82"/>
      <c r="H9" s="69">
        <f t="shared" si="0"/>
        <v>0</v>
      </c>
      <c r="I9" s="79">
        <v>0.01</v>
      </c>
      <c r="J9" s="73">
        <f t="shared" si="1"/>
        <v>0</v>
      </c>
      <c r="K9" s="80"/>
      <c r="L9" s="86">
        <f t="shared" si="2"/>
        <v>0</v>
      </c>
    </row>
    <row r="10" spans="1:12" ht="15" thickBot="1" x14ac:dyDescent="0.35">
      <c r="A10" s="29" t="s">
        <v>30</v>
      </c>
      <c r="B10" s="87"/>
      <c r="C10" s="88"/>
      <c r="D10" s="89"/>
      <c r="E10" s="88"/>
      <c r="F10" s="88"/>
      <c r="G10" s="87"/>
      <c r="H10" s="69">
        <f t="shared" si="0"/>
        <v>0</v>
      </c>
      <c r="I10" s="72">
        <v>0.01</v>
      </c>
      <c r="J10" s="73">
        <f t="shared" si="1"/>
        <v>0</v>
      </c>
      <c r="K10" s="85"/>
      <c r="L10" s="91">
        <f t="shared" si="2"/>
        <v>0</v>
      </c>
    </row>
    <row r="11" spans="1:12" ht="15" thickBot="1" x14ac:dyDescent="0.35">
      <c r="A11" s="25" t="s">
        <v>31</v>
      </c>
      <c r="B11" s="76"/>
      <c r="C11" s="76"/>
      <c r="D11" s="76"/>
      <c r="E11" s="76"/>
      <c r="F11" s="76"/>
      <c r="G11" s="76"/>
      <c r="H11" s="69">
        <f t="shared" si="0"/>
        <v>0</v>
      </c>
      <c r="I11" s="79">
        <v>0.01</v>
      </c>
      <c r="J11" s="73">
        <f t="shared" si="1"/>
        <v>0</v>
      </c>
      <c r="K11" s="90"/>
      <c r="L11" s="92">
        <f t="shared" si="2"/>
        <v>0</v>
      </c>
    </row>
    <row r="12" spans="1:12" ht="15" thickBot="1" x14ac:dyDescent="0.35">
      <c r="A12" s="25" t="s">
        <v>32</v>
      </c>
      <c r="B12" s="76"/>
      <c r="C12" s="76"/>
      <c r="D12" s="76"/>
      <c r="E12" s="76"/>
      <c r="F12" s="76"/>
      <c r="G12" s="76"/>
      <c r="H12" s="69">
        <f t="shared" si="0"/>
        <v>0</v>
      </c>
      <c r="I12" s="72">
        <v>0.01</v>
      </c>
      <c r="J12" s="73">
        <f t="shared" si="1"/>
        <v>0</v>
      </c>
      <c r="K12" s="80"/>
      <c r="L12" s="92">
        <f t="shared" si="2"/>
        <v>0</v>
      </c>
    </row>
    <row r="13" spans="1:12" ht="15" thickBot="1" x14ac:dyDescent="0.35">
      <c r="A13" s="25" t="s">
        <v>33</v>
      </c>
      <c r="B13" s="76"/>
      <c r="C13" s="76"/>
      <c r="D13" s="76"/>
      <c r="E13" s="76"/>
      <c r="F13" s="76"/>
      <c r="G13" s="76"/>
      <c r="H13" s="69">
        <f t="shared" si="0"/>
        <v>0</v>
      </c>
      <c r="I13" s="79">
        <v>0.01</v>
      </c>
      <c r="J13" s="73">
        <f t="shared" si="1"/>
        <v>0</v>
      </c>
      <c r="K13" s="80"/>
      <c r="L13" s="92">
        <f t="shared" si="2"/>
        <v>0</v>
      </c>
    </row>
    <row r="14" spans="1:12" ht="15" thickBot="1" x14ac:dyDescent="0.35">
      <c r="A14" s="25" t="s">
        <v>34</v>
      </c>
      <c r="B14" s="76"/>
      <c r="C14" s="76"/>
      <c r="D14" s="76"/>
      <c r="E14" s="76"/>
      <c r="F14" s="76"/>
      <c r="G14" s="76"/>
      <c r="H14" s="69">
        <f t="shared" si="0"/>
        <v>0</v>
      </c>
      <c r="I14" s="72">
        <v>0.01</v>
      </c>
      <c r="J14" s="73">
        <f t="shared" si="1"/>
        <v>0</v>
      </c>
      <c r="K14" s="80"/>
      <c r="L14" s="92">
        <f t="shared" si="2"/>
        <v>0</v>
      </c>
    </row>
    <row r="15" spans="1:12" x14ac:dyDescent="0.3">
      <c r="A15" s="25" t="s">
        <v>35</v>
      </c>
      <c r="B15" s="76"/>
      <c r="C15" s="76"/>
      <c r="D15" s="76"/>
      <c r="E15" s="76"/>
      <c r="F15" s="76"/>
      <c r="G15" s="76"/>
      <c r="H15" s="69">
        <f t="shared" si="0"/>
        <v>0</v>
      </c>
      <c r="I15" s="79">
        <v>0.01</v>
      </c>
      <c r="J15" s="73">
        <f t="shared" si="1"/>
        <v>0</v>
      </c>
      <c r="K15" s="93"/>
      <c r="L15" s="92">
        <f t="shared" si="2"/>
        <v>0</v>
      </c>
    </row>
    <row r="16" spans="1:12" x14ac:dyDescent="0.3">
      <c r="A16" s="25" t="s">
        <v>36</v>
      </c>
      <c r="B16" s="94">
        <f>SUM(B4:B15)</f>
        <v>0</v>
      </c>
      <c r="C16" s="94">
        <f t="shared" ref="C16:L16" si="3">SUM(C4:C15)</f>
        <v>0</v>
      </c>
      <c r="D16" s="94">
        <f t="shared" si="3"/>
        <v>0</v>
      </c>
      <c r="E16" s="94">
        <f t="shared" si="3"/>
        <v>0</v>
      </c>
      <c r="F16" s="94">
        <f t="shared" si="3"/>
        <v>0</v>
      </c>
      <c r="G16" s="94">
        <f t="shared" si="3"/>
        <v>0</v>
      </c>
      <c r="H16" s="94">
        <f t="shared" si="3"/>
        <v>0</v>
      </c>
      <c r="I16" s="94">
        <f t="shared" si="3"/>
        <v>0.11999999999999998</v>
      </c>
      <c r="J16" s="94">
        <f t="shared" si="3"/>
        <v>0</v>
      </c>
      <c r="K16" s="94">
        <f t="shared" si="3"/>
        <v>0</v>
      </c>
      <c r="L16" s="94">
        <f t="shared" si="3"/>
        <v>0</v>
      </c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topLeftCell="A10" zoomScale="90" zoomScaleNormal="90" workbookViewId="0">
      <selection activeCell="K18" sqref="K18"/>
    </sheetView>
  </sheetViews>
  <sheetFormatPr defaultColWidth="9.109375" defaultRowHeight="14.4" x14ac:dyDescent="0.3"/>
  <cols>
    <col min="1" max="1" width="11.33203125" style="20" customWidth="1"/>
    <col min="2" max="2" width="14.33203125" style="20" customWidth="1"/>
    <col min="3" max="3" width="15.6640625" style="20" customWidth="1"/>
    <col min="4" max="4" width="15" style="20" customWidth="1"/>
    <col min="5" max="5" width="17.5546875" style="20" customWidth="1"/>
    <col min="6" max="6" width="13" style="20" customWidth="1"/>
    <col min="7" max="7" width="13.6640625" style="20" customWidth="1"/>
    <col min="8" max="8" width="12.109375" style="20" customWidth="1"/>
    <col min="9" max="9" width="18" style="20" customWidth="1"/>
    <col min="10" max="10" width="15" style="20" customWidth="1"/>
    <col min="11" max="11" width="14.5546875" style="20" bestFit="1" customWidth="1"/>
    <col min="12" max="12" width="14.6640625" style="20" customWidth="1"/>
    <col min="13" max="13" width="9.6640625" style="20" customWidth="1"/>
    <col min="14" max="14" width="18.33203125" style="20" customWidth="1"/>
    <col min="15" max="15" width="9.109375" style="20"/>
    <col min="16" max="16" width="13.44140625" style="20" bestFit="1" customWidth="1"/>
    <col min="17" max="16384" width="9.109375" style="20"/>
  </cols>
  <sheetData>
    <row r="2" spans="1:17" customFormat="1" ht="21" x14ac:dyDescent="0.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7" customFormat="1" ht="2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7" customFormat="1" ht="21" x14ac:dyDescent="0.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7" customFormat="1" ht="21" x14ac:dyDescent="0.4">
      <c r="A5" s="38"/>
      <c r="B5" s="38"/>
      <c r="C5" s="38"/>
      <c r="D5" s="38"/>
      <c r="E5" s="38"/>
      <c r="F5" s="38"/>
      <c r="G5" s="38"/>
      <c r="H5" s="38"/>
      <c r="I5" s="38"/>
      <c r="J5" s="38"/>
      <c r="K5" s="116" t="s">
        <v>37</v>
      </c>
      <c r="L5" s="116"/>
      <c r="M5" s="116"/>
      <c r="N5" s="116"/>
    </row>
    <row r="6" spans="1:17" customFormat="1" ht="21" x14ac:dyDescent="0.4">
      <c r="A6" s="117" t="s">
        <v>38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spans="1:17" customFormat="1" ht="18" customHeight="1" x14ac:dyDescent="0.3">
      <c r="A7" s="118">
        <f>'Обороты 2022'!A2</f>
        <v>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7" customFormat="1" ht="21" customHeight="1" x14ac:dyDescent="0.3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7" ht="21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7" ht="32.4" customHeight="1" x14ac:dyDescent="0.3">
      <c r="A10" s="119" t="s">
        <v>39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26"/>
      <c r="P10" s="26"/>
      <c r="Q10" s="26"/>
    </row>
    <row r="11" spans="1:17" ht="10.5" customHeight="1" x14ac:dyDescent="0.3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26"/>
      <c r="P11" s="26"/>
      <c r="Q11" s="26"/>
    </row>
    <row r="12" spans="1:17" ht="82.8" x14ac:dyDescent="0.3">
      <c r="A12" s="1" t="s">
        <v>0</v>
      </c>
      <c r="B12" s="1" t="s">
        <v>19</v>
      </c>
      <c r="C12" s="1" t="s">
        <v>14</v>
      </c>
      <c r="D12" s="1" t="s">
        <v>1</v>
      </c>
      <c r="E12" s="1" t="s">
        <v>2</v>
      </c>
      <c r="F12" s="1" t="s">
        <v>3</v>
      </c>
      <c r="G12" s="5" t="s">
        <v>10</v>
      </c>
      <c r="H12" s="2" t="s">
        <v>4</v>
      </c>
      <c r="I12" s="2" t="s">
        <v>15</v>
      </c>
      <c r="J12" s="2" t="s">
        <v>1</v>
      </c>
      <c r="K12" s="3" t="s">
        <v>13</v>
      </c>
      <c r="L12" s="4" t="s">
        <v>5</v>
      </c>
      <c r="M12" s="1" t="s">
        <v>20</v>
      </c>
      <c r="N12" s="6" t="s">
        <v>44</v>
      </c>
    </row>
    <row r="13" spans="1:17" ht="41.4" x14ac:dyDescent="0.3">
      <c r="A13" s="112" t="s">
        <v>75</v>
      </c>
      <c r="B13" s="114" t="s">
        <v>18</v>
      </c>
      <c r="C13" s="66" t="s">
        <v>40</v>
      </c>
      <c r="D13" s="14">
        <f>'Обороты 2022'!E4</f>
        <v>0</v>
      </c>
      <c r="E13" s="120" t="s">
        <v>6</v>
      </c>
      <c r="F13" s="121">
        <v>0.06</v>
      </c>
      <c r="G13" s="123">
        <f>D16*6%</f>
        <v>0</v>
      </c>
      <c r="H13" s="125" t="s">
        <v>17</v>
      </c>
      <c r="I13" s="66" t="str">
        <f>C13</f>
        <v>Расчетный счет Анализ 51счета: Дт 51 Кт 62</v>
      </c>
      <c r="J13" s="14">
        <f>D13</f>
        <v>0</v>
      </c>
      <c r="K13" s="106">
        <f>(J16*1%)-K17</f>
        <v>3000</v>
      </c>
      <c r="L13" s="108">
        <f>G13-K13</f>
        <v>-3000</v>
      </c>
      <c r="M13" s="109">
        <f>'Обороты 2022'!I4</f>
        <v>0.01</v>
      </c>
      <c r="N13" s="110">
        <f>D16*M13</f>
        <v>0</v>
      </c>
    </row>
    <row r="14" spans="1:17" ht="55.2" x14ac:dyDescent="0.3">
      <c r="A14" s="113"/>
      <c r="B14" s="111"/>
      <c r="C14" s="66" t="s">
        <v>41</v>
      </c>
      <c r="D14" s="64">
        <f>'Обороты 2022'!C4</f>
        <v>0</v>
      </c>
      <c r="E14" s="111"/>
      <c r="F14" s="122"/>
      <c r="G14" s="124"/>
      <c r="H14" s="126"/>
      <c r="I14" s="66" t="str">
        <f t="shared" ref="I14:J16" si="0">C14</f>
        <v>% начисленный банком          Анализ 51счета: Дт 51 Кт 91.01</v>
      </c>
      <c r="J14" s="14">
        <f t="shared" si="0"/>
        <v>0</v>
      </c>
      <c r="K14" s="107"/>
      <c r="L14" s="108"/>
      <c r="M14" s="109"/>
      <c r="N14" s="110"/>
    </row>
    <row r="15" spans="1:17" ht="55.2" x14ac:dyDescent="0.3">
      <c r="A15" s="113"/>
      <c r="B15" s="111"/>
      <c r="C15" s="66" t="s">
        <v>43</v>
      </c>
      <c r="D15" s="64">
        <f>'Обороты 2022'!F4</f>
        <v>0</v>
      </c>
      <c r="E15" s="111"/>
      <c r="F15" s="122"/>
      <c r="G15" s="124"/>
      <c r="H15" s="126"/>
      <c r="I15" s="66" t="str">
        <f t="shared" si="0"/>
        <v xml:space="preserve">Услуги коммисионеров                     Анализ 44счета: Дт44 Кт 60 </v>
      </c>
      <c r="J15" s="14">
        <f t="shared" si="0"/>
        <v>0</v>
      </c>
      <c r="K15" s="107"/>
      <c r="L15" s="108"/>
      <c r="M15" s="109"/>
      <c r="N15" s="110"/>
    </row>
    <row r="16" spans="1:17" x14ac:dyDescent="0.3">
      <c r="A16" s="113"/>
      <c r="B16" s="111"/>
      <c r="C16" s="66" t="s">
        <v>9</v>
      </c>
      <c r="D16" s="41">
        <f>SUM(D13:D15)</f>
        <v>0</v>
      </c>
      <c r="E16" s="111"/>
      <c r="F16" s="122"/>
      <c r="G16" s="124"/>
      <c r="H16" s="126"/>
      <c r="I16" s="66" t="str">
        <f t="shared" si="0"/>
        <v>Итого</v>
      </c>
      <c r="J16" s="42">
        <f>SUM(J13:J15)</f>
        <v>0</v>
      </c>
      <c r="K16" s="107"/>
      <c r="L16" s="108"/>
      <c r="M16" s="109"/>
      <c r="N16" s="110"/>
    </row>
    <row r="17" spans="1:16" ht="27.6" x14ac:dyDescent="0.3">
      <c r="A17" s="112" t="str">
        <f>A13</f>
        <v>01.01.2022-31.01.2022</v>
      </c>
      <c r="B17" s="114" t="s">
        <v>18</v>
      </c>
      <c r="C17" s="143" t="s">
        <v>78</v>
      </c>
      <c r="D17" s="64">
        <f>D16-300000</f>
        <v>-300000</v>
      </c>
      <c r="E17" s="61" t="s">
        <v>7</v>
      </c>
      <c r="F17" s="66" t="str">
        <f>C17</f>
        <v>1%, не более 232 349 руб.</v>
      </c>
      <c r="G17" s="65">
        <f>(D17)*1%</f>
        <v>-3000</v>
      </c>
      <c r="H17" s="67"/>
      <c r="I17" s="61" t="str">
        <f>E17</f>
        <v>ПФР</v>
      </c>
      <c r="J17" s="66" t="str">
        <f>F17</f>
        <v>1%, не более 232 349 руб.</v>
      </c>
      <c r="K17" s="21">
        <f>G17</f>
        <v>-3000</v>
      </c>
      <c r="L17" s="68">
        <f>(G17-K17)/2</f>
        <v>0</v>
      </c>
      <c r="M17" s="109"/>
      <c r="N17" s="111"/>
    </row>
    <row r="18" spans="1:16" ht="27.6" x14ac:dyDescent="0.3">
      <c r="A18" s="112"/>
      <c r="B18" s="114"/>
      <c r="C18" s="143" t="s">
        <v>79</v>
      </c>
      <c r="D18" s="97">
        <f>34445/12</f>
        <v>2870.4166666666665</v>
      </c>
      <c r="E18" s="95" t="s">
        <v>76</v>
      </c>
      <c r="F18" s="141" t="s">
        <v>16</v>
      </c>
      <c r="G18" s="98">
        <f>D18</f>
        <v>2870.4166666666665</v>
      </c>
      <c r="H18" s="99"/>
      <c r="I18" s="95" t="str">
        <f>E18</f>
        <v>ОПС</v>
      </c>
      <c r="J18" s="96" t="str">
        <f>F18</f>
        <v>фиксированные взносы</v>
      </c>
      <c r="K18" s="21">
        <f>G18</f>
        <v>2870.4166666666665</v>
      </c>
      <c r="L18" s="100"/>
      <c r="M18" s="109"/>
      <c r="N18" s="111"/>
    </row>
    <row r="19" spans="1:16" ht="27.6" x14ac:dyDescent="0.3">
      <c r="A19" s="113"/>
      <c r="B19" s="111"/>
      <c r="C19" s="143" t="s">
        <v>80</v>
      </c>
      <c r="D19" s="64">
        <f>8766/12</f>
        <v>730.5</v>
      </c>
      <c r="E19" s="64" t="s">
        <v>77</v>
      </c>
      <c r="F19" s="141" t="s">
        <v>16</v>
      </c>
      <c r="G19" s="65">
        <f>D19</f>
        <v>730.5</v>
      </c>
      <c r="H19" s="66" t="s">
        <v>12</v>
      </c>
      <c r="I19" s="142" t="str">
        <f>E19</f>
        <v>ОМС</v>
      </c>
      <c r="J19" s="66" t="str">
        <f>F19</f>
        <v>фиксированные взносы</v>
      </c>
      <c r="K19" s="21">
        <f>G19</f>
        <v>730.5</v>
      </c>
      <c r="L19" s="68">
        <v>0</v>
      </c>
      <c r="M19" s="109"/>
      <c r="N19" s="111"/>
    </row>
    <row r="20" spans="1:16" x14ac:dyDescent="0.3">
      <c r="A20" s="113"/>
      <c r="B20" s="111"/>
      <c r="C20" s="16"/>
      <c r="D20" s="16"/>
      <c r="E20" s="16"/>
      <c r="F20" s="16"/>
      <c r="G20" s="65">
        <f>SUM(G13:G19)</f>
        <v>600.91666666666652</v>
      </c>
      <c r="H20" s="17"/>
      <c r="I20" s="17"/>
      <c r="J20" s="17"/>
      <c r="K20" s="21">
        <f>SUM(K13:K19)</f>
        <v>3600.9166666666665</v>
      </c>
      <c r="L20" s="68">
        <f>SUM(L13:L19)</f>
        <v>-3000</v>
      </c>
      <c r="M20" s="62"/>
      <c r="N20" s="63">
        <f>SUM(N13:N19)</f>
        <v>0</v>
      </c>
    </row>
    <row r="21" spans="1:16" x14ac:dyDescent="0.3">
      <c r="A21" s="18"/>
      <c r="B21" s="18"/>
      <c r="G21" s="7"/>
      <c r="I21" s="19"/>
      <c r="J21" s="19"/>
      <c r="P21" s="22"/>
    </row>
    <row r="23" spans="1:16" ht="15.6" x14ac:dyDescent="0.3">
      <c r="A23" s="102" t="s">
        <v>49</v>
      </c>
      <c r="B23" s="103"/>
      <c r="C23" s="103"/>
      <c r="D23" s="103"/>
      <c r="E23" s="103"/>
      <c r="F23" s="103"/>
      <c r="G23" s="103"/>
      <c r="H23" s="103"/>
      <c r="I23" s="33"/>
      <c r="J23" s="104" t="s">
        <v>45</v>
      </c>
      <c r="K23" s="105"/>
      <c r="L23" s="105"/>
    </row>
    <row r="24" spans="1:16" ht="31.2" x14ac:dyDescent="0.3">
      <c r="A24" s="103"/>
      <c r="B24" s="103"/>
      <c r="C24" s="103"/>
      <c r="D24" s="103"/>
      <c r="E24" s="103"/>
      <c r="F24" s="103"/>
      <c r="G24" s="103"/>
      <c r="H24" s="103"/>
      <c r="I24" s="33"/>
      <c r="J24" s="60" t="s">
        <v>46</v>
      </c>
      <c r="K24" s="60" t="s">
        <v>47</v>
      </c>
      <c r="L24" s="60" t="s">
        <v>48</v>
      </c>
    </row>
    <row r="25" spans="1:16" ht="15.6" x14ac:dyDescent="0.3">
      <c r="A25" s="103"/>
      <c r="B25" s="103"/>
      <c r="C25" s="103"/>
      <c r="D25" s="103"/>
      <c r="E25" s="103"/>
      <c r="F25" s="103"/>
      <c r="G25" s="103"/>
      <c r="H25" s="103"/>
      <c r="I25" s="33"/>
      <c r="J25" s="59">
        <f>D16</f>
        <v>0</v>
      </c>
      <c r="K25" s="36">
        <f>L20</f>
        <v>-3000</v>
      </c>
      <c r="L25" s="37" t="e">
        <f>K25/J25</f>
        <v>#DIV/0!</v>
      </c>
    </row>
  </sheetData>
  <mergeCells count="18">
    <mergeCell ref="N13:N19"/>
    <mergeCell ref="A17:A20"/>
    <mergeCell ref="B17:B20"/>
    <mergeCell ref="K5:N5"/>
    <mergeCell ref="A6:N6"/>
    <mergeCell ref="A7:N8"/>
    <mergeCell ref="A10:N10"/>
    <mergeCell ref="A13:A16"/>
    <mergeCell ref="B13:B16"/>
    <mergeCell ref="E13:E16"/>
    <mergeCell ref="F13:F16"/>
    <mergeCell ref="G13:G16"/>
    <mergeCell ref="H13:H16"/>
    <mergeCell ref="A23:H25"/>
    <mergeCell ref="J23:L23"/>
    <mergeCell ref="K13:K16"/>
    <mergeCell ref="L13:L16"/>
    <mergeCell ref="M13:M19"/>
  </mergeCells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8"/>
  <sheetViews>
    <sheetView topLeftCell="A15" zoomScale="90" zoomScaleNormal="90" workbookViewId="0">
      <selection activeCell="H36" sqref="H36:I36"/>
    </sheetView>
  </sheetViews>
  <sheetFormatPr defaultColWidth="9.109375" defaultRowHeight="14.4" x14ac:dyDescent="0.3"/>
  <cols>
    <col min="1" max="1" width="11.33203125" style="20" customWidth="1"/>
    <col min="2" max="2" width="15.5546875" style="20" customWidth="1"/>
    <col min="3" max="3" width="15.6640625" style="20" customWidth="1"/>
    <col min="4" max="4" width="15" style="20" customWidth="1"/>
    <col min="5" max="5" width="17.5546875" style="20" customWidth="1"/>
    <col min="6" max="6" width="14.44140625" style="20" customWidth="1"/>
    <col min="7" max="7" width="14.6640625" style="20" customWidth="1"/>
    <col min="8" max="8" width="12.109375" style="20" customWidth="1"/>
    <col min="9" max="9" width="18" style="20" customWidth="1"/>
    <col min="10" max="10" width="15" style="20" customWidth="1"/>
    <col min="11" max="11" width="14.5546875" style="20" bestFit="1" customWidth="1"/>
    <col min="12" max="12" width="14.6640625" style="20" customWidth="1"/>
    <col min="13" max="13" width="9.6640625" style="20" customWidth="1"/>
    <col min="14" max="14" width="18.33203125" style="20" customWidth="1"/>
    <col min="15" max="15" width="9.109375" style="20"/>
    <col min="16" max="16" width="13.44140625" style="20" bestFit="1" customWidth="1"/>
    <col min="17" max="16384" width="9.109375" style="20"/>
  </cols>
  <sheetData>
    <row r="2" spans="1:17" customFormat="1" ht="21" x14ac:dyDescent="0.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7" customFormat="1" ht="2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7" customFormat="1" ht="21" x14ac:dyDescent="0.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7" customFormat="1" ht="21" x14ac:dyDescent="0.4">
      <c r="A5" s="38"/>
      <c r="B5" s="38"/>
      <c r="C5" s="38"/>
      <c r="D5" s="38"/>
      <c r="E5" s="38"/>
      <c r="F5" s="38"/>
      <c r="G5" s="38"/>
      <c r="H5" s="38"/>
      <c r="I5" s="38"/>
      <c r="J5" s="38"/>
      <c r="K5" s="116" t="s">
        <v>37</v>
      </c>
      <c r="L5" s="116"/>
      <c r="M5" s="116"/>
      <c r="N5" s="116"/>
    </row>
    <row r="6" spans="1:17" customFormat="1" ht="21" x14ac:dyDescent="0.4">
      <c r="A6" s="117" t="s">
        <v>38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spans="1:17" customFormat="1" ht="18" customHeight="1" x14ac:dyDescent="0.3">
      <c r="A7" s="118" t="s">
        <v>68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7" customFormat="1" ht="21" customHeight="1" x14ac:dyDescent="0.3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7" ht="21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7" ht="32.4" customHeight="1" x14ac:dyDescent="0.3">
      <c r="A10" s="119" t="s">
        <v>39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26"/>
      <c r="P10" s="26"/>
      <c r="Q10" s="26"/>
    </row>
    <row r="11" spans="1:17" ht="10.5" customHeight="1" x14ac:dyDescent="0.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26"/>
      <c r="P11" s="26"/>
      <c r="Q11" s="26"/>
    </row>
    <row r="12" spans="1:17" ht="82.8" x14ac:dyDescent="0.3">
      <c r="A12" s="1" t="s">
        <v>0</v>
      </c>
      <c r="B12" s="1" t="s">
        <v>19</v>
      </c>
      <c r="C12" s="1" t="s">
        <v>14</v>
      </c>
      <c r="D12" s="1" t="s">
        <v>1</v>
      </c>
      <c r="E12" s="1" t="s">
        <v>2</v>
      </c>
      <c r="F12" s="1" t="s">
        <v>3</v>
      </c>
      <c r="G12" s="5" t="s">
        <v>10</v>
      </c>
      <c r="H12" s="2" t="s">
        <v>4</v>
      </c>
      <c r="I12" s="2" t="s">
        <v>15</v>
      </c>
      <c r="J12" s="2" t="s">
        <v>1</v>
      </c>
      <c r="K12" s="3" t="s">
        <v>13</v>
      </c>
      <c r="L12" s="4" t="s">
        <v>5</v>
      </c>
      <c r="M12" s="1" t="s">
        <v>20</v>
      </c>
      <c r="N12" s="6" t="s">
        <v>44</v>
      </c>
    </row>
    <row r="13" spans="1:17" ht="41.4" x14ac:dyDescent="0.3">
      <c r="A13" s="112" t="s">
        <v>70</v>
      </c>
      <c r="B13" s="114" t="s">
        <v>18</v>
      </c>
      <c r="C13" s="8" t="s">
        <v>40</v>
      </c>
      <c r="D13" s="14">
        <f>SUM('Обороты 2022'!E4:E9)</f>
        <v>0</v>
      </c>
      <c r="E13" s="120" t="s">
        <v>6</v>
      </c>
      <c r="F13" s="121">
        <v>0.06</v>
      </c>
      <c r="G13" s="123">
        <f>D16*6%</f>
        <v>0</v>
      </c>
      <c r="H13" s="125" t="s">
        <v>17</v>
      </c>
      <c r="I13" s="8" t="str">
        <f>C13</f>
        <v>Расчетный счет Анализ 51счета: Дт 51 Кт 62</v>
      </c>
      <c r="J13" s="14">
        <f>D13</f>
        <v>0</v>
      </c>
      <c r="K13" s="106">
        <f>(J16*1%)-K17</f>
        <v>6000</v>
      </c>
      <c r="L13" s="108">
        <f>G13-K13</f>
        <v>-6000</v>
      </c>
      <c r="M13" s="109">
        <v>1.4999999999999999E-2</v>
      </c>
      <c r="N13" s="110">
        <f>(D13+D14)*M13</f>
        <v>0</v>
      </c>
    </row>
    <row r="14" spans="1:17" ht="55.2" x14ac:dyDescent="0.3">
      <c r="A14" s="113"/>
      <c r="B14" s="111"/>
      <c r="C14" s="8" t="s">
        <v>41</v>
      </c>
      <c r="D14" s="15">
        <f>SUM('Обороты 2022'!C4:C9)</f>
        <v>0</v>
      </c>
      <c r="E14" s="111"/>
      <c r="F14" s="122"/>
      <c r="G14" s="124"/>
      <c r="H14" s="126"/>
      <c r="I14" s="8" t="str">
        <f t="shared" ref="I14:I16" si="0">C14</f>
        <v>% начисленный банком          Анализ 51счета: Дт 51 Кт 91.01</v>
      </c>
      <c r="J14" s="14">
        <f t="shared" ref="J14:J15" si="1">D14</f>
        <v>0</v>
      </c>
      <c r="K14" s="107"/>
      <c r="L14" s="108"/>
      <c r="M14" s="109"/>
      <c r="N14" s="110"/>
    </row>
    <row r="15" spans="1:17" ht="55.2" x14ac:dyDescent="0.3">
      <c r="A15" s="113"/>
      <c r="B15" s="111"/>
      <c r="C15" s="8" t="s">
        <v>43</v>
      </c>
      <c r="D15" s="15">
        <f>SUM('Обороты 2022'!F4:F9)</f>
        <v>0</v>
      </c>
      <c r="E15" s="111"/>
      <c r="F15" s="122"/>
      <c r="G15" s="124"/>
      <c r="H15" s="126"/>
      <c r="I15" s="8" t="str">
        <f t="shared" si="0"/>
        <v xml:space="preserve">Услуги коммисионеров                     Анализ 44счета: Дт44 Кт 60 </v>
      </c>
      <c r="J15" s="14">
        <f t="shared" si="1"/>
        <v>0</v>
      </c>
      <c r="K15" s="107"/>
      <c r="L15" s="108"/>
      <c r="M15" s="109"/>
      <c r="N15" s="110"/>
    </row>
    <row r="16" spans="1:17" x14ac:dyDescent="0.3">
      <c r="A16" s="113"/>
      <c r="B16" s="111"/>
      <c r="C16" s="8" t="s">
        <v>9</v>
      </c>
      <c r="D16" s="41">
        <f>SUM(D13:D15)</f>
        <v>0</v>
      </c>
      <c r="E16" s="111"/>
      <c r="F16" s="122"/>
      <c r="G16" s="124"/>
      <c r="H16" s="126"/>
      <c r="I16" s="8" t="str">
        <f t="shared" si="0"/>
        <v>Итого</v>
      </c>
      <c r="J16" s="42">
        <f>SUM(J13:J15)</f>
        <v>0</v>
      </c>
      <c r="K16" s="107"/>
      <c r="L16" s="108"/>
      <c r="M16" s="109"/>
      <c r="N16" s="110"/>
    </row>
    <row r="17" spans="1:19" ht="27.6" x14ac:dyDescent="0.3">
      <c r="A17" s="112" t="s">
        <v>70</v>
      </c>
      <c r="B17" s="114" t="s">
        <v>18</v>
      </c>
      <c r="C17" s="115"/>
      <c r="D17" s="15">
        <f>D16-300000</f>
        <v>-300000</v>
      </c>
      <c r="E17" s="10" t="s">
        <v>7</v>
      </c>
      <c r="F17" s="8" t="s">
        <v>8</v>
      </c>
      <c r="G17" s="11">
        <f>(D17-300000)*1%</f>
        <v>-6000</v>
      </c>
      <c r="H17" s="43"/>
      <c r="I17" s="10" t="s">
        <v>7</v>
      </c>
      <c r="J17" s="8" t="s">
        <v>8</v>
      </c>
      <c r="K17" s="21">
        <f>G17</f>
        <v>-6000</v>
      </c>
      <c r="L17" s="12">
        <f>G17-K17</f>
        <v>0</v>
      </c>
      <c r="M17" s="109"/>
      <c r="N17" s="111"/>
    </row>
    <row r="18" spans="1:19" ht="27.6" x14ac:dyDescent="0.3">
      <c r="A18" s="113"/>
      <c r="B18" s="111"/>
      <c r="C18" s="115"/>
      <c r="D18" s="15">
        <f>40874/6</f>
        <v>6812.333333333333</v>
      </c>
      <c r="E18" s="15" t="s">
        <v>12</v>
      </c>
      <c r="F18" s="8" t="s">
        <v>16</v>
      </c>
      <c r="G18" s="11">
        <f>D18</f>
        <v>6812.333333333333</v>
      </c>
      <c r="H18" s="8" t="s">
        <v>12</v>
      </c>
      <c r="I18" s="8" t="s">
        <v>12</v>
      </c>
      <c r="J18" s="8" t="s">
        <v>11</v>
      </c>
      <c r="K18" s="21">
        <f>G18</f>
        <v>6812.333333333333</v>
      </c>
      <c r="L18" s="12">
        <v>0</v>
      </c>
      <c r="M18" s="109"/>
      <c r="N18" s="111"/>
    </row>
    <row r="19" spans="1:19" x14ac:dyDescent="0.3">
      <c r="A19" s="113"/>
      <c r="B19" s="111"/>
      <c r="C19" s="16"/>
      <c r="D19" s="16"/>
      <c r="E19" s="16"/>
      <c r="F19" s="16"/>
      <c r="G19" s="11">
        <f>SUM(G13:G18)</f>
        <v>812.33333333333303</v>
      </c>
      <c r="H19" s="17"/>
      <c r="I19" s="17"/>
      <c r="J19" s="17"/>
      <c r="K19" s="21">
        <f>SUM(K13:K18)</f>
        <v>6812.333333333333</v>
      </c>
      <c r="L19" s="12">
        <f>SUM(L13:L18)</f>
        <v>-6000</v>
      </c>
      <c r="M19" s="9"/>
      <c r="N19" s="13">
        <f>SUM(N13:N18)</f>
        <v>0</v>
      </c>
    </row>
    <row r="20" spans="1:19" x14ac:dyDescent="0.3">
      <c r="A20" s="18"/>
      <c r="B20" s="18"/>
      <c r="G20" s="7"/>
      <c r="I20" s="19"/>
      <c r="J20" s="19"/>
      <c r="P20" s="22"/>
    </row>
    <row r="22" spans="1:19" ht="15.6" x14ac:dyDescent="0.3">
      <c r="A22" s="102" t="s">
        <v>49</v>
      </c>
      <c r="B22" s="103"/>
      <c r="C22" s="103"/>
      <c r="D22" s="103"/>
      <c r="E22" s="103"/>
      <c r="F22" s="103"/>
      <c r="G22" s="103"/>
      <c r="H22" s="103"/>
      <c r="I22" s="33"/>
      <c r="J22" s="104" t="s">
        <v>45</v>
      </c>
      <c r="K22" s="105"/>
      <c r="L22" s="105"/>
    </row>
    <row r="23" spans="1:19" ht="31.2" x14ac:dyDescent="0.3">
      <c r="A23" s="103"/>
      <c r="B23" s="103"/>
      <c r="C23" s="103"/>
      <c r="D23" s="103"/>
      <c r="E23" s="103"/>
      <c r="F23" s="103"/>
      <c r="G23" s="103"/>
      <c r="H23" s="103"/>
      <c r="I23" s="33"/>
      <c r="J23" s="34" t="s">
        <v>46</v>
      </c>
      <c r="K23" s="34" t="s">
        <v>47</v>
      </c>
      <c r="L23" s="34" t="s">
        <v>48</v>
      </c>
    </row>
    <row r="24" spans="1:19" ht="15.6" x14ac:dyDescent="0.3">
      <c r="A24" s="103"/>
      <c r="B24" s="103"/>
      <c r="C24" s="103"/>
      <c r="D24" s="103"/>
      <c r="E24" s="103"/>
      <c r="F24" s="103"/>
      <c r="G24" s="103"/>
      <c r="H24" s="103"/>
      <c r="I24" s="33"/>
      <c r="J24" s="35">
        <f>D16</f>
        <v>0</v>
      </c>
      <c r="K24" s="36">
        <f>L19</f>
        <v>-6000</v>
      </c>
      <c r="L24" s="37" t="e">
        <f>K24/J24</f>
        <v>#DIV/0!</v>
      </c>
    </row>
    <row r="26" spans="1:19" ht="15" customHeight="1" x14ac:dyDescent="0.3">
      <c r="A26" s="135">
        <v>0.01</v>
      </c>
      <c r="B26" s="135"/>
      <c r="C26" s="135"/>
      <c r="D26" s="135"/>
      <c r="E26" s="135"/>
      <c r="F26" s="135"/>
      <c r="G26" s="46"/>
    </row>
    <row r="27" spans="1:19" ht="15" customHeight="1" x14ac:dyDescent="0.3">
      <c r="A27" s="136"/>
      <c r="B27" s="136"/>
      <c r="C27" s="136"/>
      <c r="D27" s="136"/>
      <c r="E27" s="136"/>
      <c r="F27" s="136"/>
      <c r="G27" s="47"/>
    </row>
    <row r="28" spans="1:19" ht="43.2" x14ac:dyDescent="0.3">
      <c r="A28" s="137" t="s">
        <v>60</v>
      </c>
      <c r="B28" s="48" t="s">
        <v>58</v>
      </c>
      <c r="C28" s="49" t="s">
        <v>59</v>
      </c>
      <c r="D28" s="48" t="s">
        <v>52</v>
      </c>
      <c r="E28" s="48" t="s">
        <v>53</v>
      </c>
      <c r="F28" s="48" t="s">
        <v>62</v>
      </c>
      <c r="G28" s="44"/>
      <c r="N28" s="127" t="s">
        <v>61</v>
      </c>
      <c r="O28" s="127"/>
      <c r="P28" s="127"/>
      <c r="Q28" s="127"/>
      <c r="R28" s="127"/>
      <c r="S28" s="127"/>
    </row>
    <row r="29" spans="1:19" x14ac:dyDescent="0.3">
      <c r="A29" s="138"/>
      <c r="B29" s="50">
        <f>D16</f>
        <v>0</v>
      </c>
      <c r="C29" s="50">
        <f>B29*1%</f>
        <v>0</v>
      </c>
      <c r="D29" s="50">
        <v>4674</v>
      </c>
      <c r="E29" s="50">
        <v>147073</v>
      </c>
      <c r="F29" s="50">
        <f>C29-D29-E29</f>
        <v>-151747</v>
      </c>
      <c r="G29" s="44"/>
    </row>
    <row r="30" spans="1:19" ht="57.6" x14ac:dyDescent="0.3">
      <c r="A30" s="138"/>
      <c r="B30" s="48" t="s">
        <v>55</v>
      </c>
      <c r="C30" s="48" t="s">
        <v>56</v>
      </c>
      <c r="D30" s="48" t="s">
        <v>57</v>
      </c>
      <c r="E30" s="128" t="s">
        <v>54</v>
      </c>
      <c r="F30" s="128"/>
      <c r="G30" s="44"/>
    </row>
    <row r="31" spans="1:19" ht="30" customHeight="1" thickBot="1" x14ac:dyDescent="0.35">
      <c r="A31" s="139"/>
      <c r="B31" s="56"/>
      <c r="C31" s="57">
        <f>(B29-300000)*1%</f>
        <v>-3000</v>
      </c>
      <c r="D31" s="56"/>
      <c r="E31" s="140">
        <f>C31-D31</f>
        <v>-3000</v>
      </c>
      <c r="F31" s="140"/>
      <c r="G31" s="44"/>
    </row>
    <row r="32" spans="1:19" ht="15" customHeight="1" thickTop="1" x14ac:dyDescent="0.3">
      <c r="A32" s="133">
        <v>0.06</v>
      </c>
      <c r="B32" s="133"/>
      <c r="C32" s="133"/>
      <c r="D32" s="133"/>
      <c r="E32" s="133"/>
      <c r="F32" s="133"/>
      <c r="G32" s="45"/>
    </row>
    <row r="33" spans="1:7" ht="15" customHeight="1" x14ac:dyDescent="0.3">
      <c r="A33" s="134"/>
      <c r="B33" s="134"/>
      <c r="C33" s="134"/>
      <c r="D33" s="134"/>
      <c r="E33" s="134"/>
      <c r="F33" s="134"/>
      <c r="G33" s="45"/>
    </row>
    <row r="34" spans="1:7" ht="43.2" x14ac:dyDescent="0.3">
      <c r="A34" s="129" t="s">
        <v>60</v>
      </c>
      <c r="B34" s="51" t="s">
        <v>58</v>
      </c>
      <c r="C34" s="52" t="s">
        <v>51</v>
      </c>
      <c r="D34" s="51" t="s">
        <v>52</v>
      </c>
      <c r="E34" s="51" t="s">
        <v>53</v>
      </c>
      <c r="F34" s="51" t="s">
        <v>63</v>
      </c>
      <c r="G34" s="44"/>
    </row>
    <row r="35" spans="1:7" x14ac:dyDescent="0.3">
      <c r="A35" s="130"/>
      <c r="B35" s="53">
        <f>B29</f>
        <v>0</v>
      </c>
      <c r="C35" s="53">
        <f>B35*6%</f>
        <v>0</v>
      </c>
      <c r="D35" s="53">
        <f>D29</f>
        <v>4674</v>
      </c>
      <c r="E35" s="53">
        <f>E29</f>
        <v>147073</v>
      </c>
      <c r="F35" s="53">
        <f>C35-D35-E35</f>
        <v>-151747</v>
      </c>
    </row>
    <row r="36" spans="1:7" ht="57.6" x14ac:dyDescent="0.3">
      <c r="A36" s="130"/>
      <c r="B36" s="51" t="s">
        <v>55</v>
      </c>
      <c r="C36" s="51" t="s">
        <v>56</v>
      </c>
      <c r="D36" s="51" t="s">
        <v>57</v>
      </c>
      <c r="E36" s="131" t="s">
        <v>54</v>
      </c>
      <c r="F36" s="131"/>
    </row>
    <row r="37" spans="1:7" ht="27" customHeight="1" x14ac:dyDescent="0.3">
      <c r="A37" s="130"/>
      <c r="B37" s="54"/>
      <c r="C37" s="55">
        <f>(B35-300000)*1%</f>
        <v>-3000</v>
      </c>
      <c r="D37" s="54">
        <f>D31</f>
        <v>0</v>
      </c>
      <c r="E37" s="132">
        <f>C37-D37</f>
        <v>-3000</v>
      </c>
      <c r="F37" s="132"/>
    </row>
    <row r="42" spans="1:7" x14ac:dyDescent="0.3">
      <c r="A42" t="s">
        <v>64</v>
      </c>
      <c r="B42"/>
    </row>
    <row r="43" spans="1:7" x14ac:dyDescent="0.3">
      <c r="A43"/>
      <c r="B43"/>
    </row>
    <row r="44" spans="1:7" x14ac:dyDescent="0.3">
      <c r="A44" t="s">
        <v>65</v>
      </c>
      <c r="B44"/>
    </row>
    <row r="45" spans="1:7" x14ac:dyDescent="0.3">
      <c r="A45"/>
      <c r="B45"/>
    </row>
    <row r="46" spans="1:7" x14ac:dyDescent="0.3">
      <c r="A46" t="s">
        <v>66</v>
      </c>
      <c r="B46"/>
    </row>
    <row r="47" spans="1:7" x14ac:dyDescent="0.3">
      <c r="A47"/>
      <c r="B47"/>
    </row>
    <row r="48" spans="1:7" x14ac:dyDescent="0.3">
      <c r="A48" t="s">
        <v>67</v>
      </c>
      <c r="B48"/>
    </row>
  </sheetData>
  <mergeCells count="28">
    <mergeCell ref="A34:A37"/>
    <mergeCell ref="E36:F36"/>
    <mergeCell ref="E37:F37"/>
    <mergeCell ref="A32:F33"/>
    <mergeCell ref="A26:F27"/>
    <mergeCell ref="A28:A31"/>
    <mergeCell ref="E31:F31"/>
    <mergeCell ref="N28:S28"/>
    <mergeCell ref="H13:H16"/>
    <mergeCell ref="K13:K16"/>
    <mergeCell ref="L13:L16"/>
    <mergeCell ref="E30:F30"/>
    <mergeCell ref="K5:N5"/>
    <mergeCell ref="A10:N10"/>
    <mergeCell ref="J22:L22"/>
    <mergeCell ref="A22:H24"/>
    <mergeCell ref="A7:N8"/>
    <mergeCell ref="A6:N6"/>
    <mergeCell ref="B13:B16"/>
    <mergeCell ref="B17:B19"/>
    <mergeCell ref="M13:M18"/>
    <mergeCell ref="N13:N18"/>
    <mergeCell ref="A17:A19"/>
    <mergeCell ref="A13:A16"/>
    <mergeCell ref="E13:E16"/>
    <mergeCell ref="F13:F16"/>
    <mergeCell ref="G13:G16"/>
    <mergeCell ref="C17:C18"/>
  </mergeCells>
  <pageMargins left="0.25" right="0.25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Обороты 2022</vt:lpstr>
      <vt:lpstr>Январь 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2022-02-08T08:40:58Z</dcterms:modified>
</cp:coreProperties>
</file>